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D7D9E7AA-D108-4647-AB76-01BE64508A09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<sst xmlns="http://schemas.openxmlformats.org/spreadsheetml/2006/main" count="282" uniqueCount="197">
  <si>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</si>
  <si>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</si>
  <si>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</si>
  <si>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</si>
  <si>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</si>
  <si>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</si>
  <si>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</si>
  <si>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</si>
  <si>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</si>
  <si>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</si>
  <si>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</si>
  <si>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</si>
  <si>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</si>
  <si>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</si>
  <si>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</si>
  <si>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</si>
  <si>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</si>
  <si>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</si>
  <si>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</si>
  <si>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</si>
  <si>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</si>
  <si>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</si>
  <si>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</si>
  <si>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</si>
  <si>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</si>
  <si>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</si>
  <si>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</si>
  <si>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</si>
  <si>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</si>
  <si>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</si>
  <si>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</si>
  <si>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</si>
  <si>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</si>
  <si>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</si>
  <si>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</si>
  <si>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</si>
  <si>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</si>
  <si>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</si>
  <si>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</si>
  <si>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</si>
  <si>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</si>
  <si>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</si>
  <si>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</si>
  <si>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</si>
  <si>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</si>
  <si>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</si>
  <si>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</si>
  <si>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</si>
  <si>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</si>
  <si>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</si>
  <si>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</si>
  <si>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</si>
  <si>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</si>
  <si>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</si>
  <si>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</si>
  <si>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</si>
  <si>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</si>
  <si>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</si>
  <si>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</si>
  <si>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</si>
  <si>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</si>
  <si>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</si>
  <si>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</si>
  <si>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</si>
  <si>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</si>
  <si>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</si>
  <si>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</si>
  <si>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</si>
  <si>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</si>
  <si>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</si>
  <si>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</si>
  <si>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</si>
  <si>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</si>
  <si>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</si>
  <si>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</si>
  <si>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</si>
  <si>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</si>
  <si>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</si>
  <si>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</si>
  <si>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</si>
  <si>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</si>
  <si>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</si>
  <si>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</si>
  <si>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</si>
  <si>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</si>
  <si>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</si>
  <si>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</si>
  <si>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</si>
  <si>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</si>
  <si>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</si>
  <si>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</si>
  <si>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</si>
  <si>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</si>
  <si>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</si>
  <si>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</si>
  <si>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</si>
  <si>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</si>
  <si>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</si>
  <si>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</si>
  <si>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</si>
  <si>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</si>
  <si>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</si>
  <si>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</si>
  <si>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</si>
  <si>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</si>
  <si>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</si>
  <si>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</si>
  <si>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</si>
  <si>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</si>
  <si>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</si>
  <si>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</si>
  <si>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</si>
  <si>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</si>
  <si>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</si>
  <si>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</si>
  <si>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</si>
  <si>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</si>
  <si>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</si>
  <si>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</si>
  <si>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</si>
  <si>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</si>
  <si>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</si>
  <si>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</si>
  <si>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</si>
  <si>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</si>
  <si>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</si>
  <si>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</si>
  <si>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</si>
  <si>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</si>
  <si>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</si>
  <si>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</si>
  <si>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</si>
  <si>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</si>
  <si>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</si>
  <si>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</si>
  <si>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</si>
  <si>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</si>
  <si>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</si>
  <si>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</si>
  <si>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</si>
  <si>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</si>
  <si>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</si>
  <si>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</si>
  <si>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</si>
  <si>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</si>
  <si>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</si>
  <si>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</si>
  <si>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</si>
  <si>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</si>
  <si>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</si>
  <si>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</si>
  <si>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</si>
  <si>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</si>
  <si>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</si>
  <si>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</si>
  <si>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</si>
  <si>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</si>
  <si>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</si>
  <si>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</si>
  <si>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</si>
  <si>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</si>
  <si>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</si>
  <si>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</si>
  <si>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</si>
  <si>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</si>
  <si>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</si>
  <si>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</si>
  <si>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</si>
  <si>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</si>
  <si>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</si>
  <si>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</si>
  <si>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</si>
  <si>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</si>
  <si>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</si>
  <si>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</si>
  <si>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</si>
  <si>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</si>
  <si>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</si>
  <si>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</si>
  <si>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</si>
  <si>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</si>
  <si>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</si>
  <si>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</si>
  <si>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</si>
  <si>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</si>
  <si>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</si>
  <si>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</si>
  <si>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</si>
  <si>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</si>
  <si>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</si>
  <si>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</si>
  <si>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Egmating</t>
  </si>
  <si>
    <t>Stand: 15.02.2023</t>
  </si>
  <si>
    <t>Die Gemeinde Egmating setzt sich folgende Ziele:</t>
  </si>
  <si>
    <t>Egmating</t>
  </si>
  <si>
    <t>Münster</t>
  </si>
  <si>
    <t>Orthofen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</si>
</sst>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12512</c:v>
                </c:pt>
                <c:pt idx="1">
                  <c:v>11680.020376712333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8055.15</c:v>
                </c:pt>
                <c:pt idx="1">
                  <c:v>10795.800038459915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402.97</c:v>
                </c:pt>
                <c:pt idx="1">
                  <c:v>470.96361301347946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5586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15384</c:v>
                </c:pt>
                <c:pt idx="1">
                  <c:v>22946.784028185724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20970</c:v>
                </c:pt>
                <c:pt idx="1">
                  <c:v>22946.784028185724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2931.88</c:v>
                </c:pt>
                <c:pt idx="1">
                  <c:v>2552.7224266274275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1756.36</c:v>
                </c:pt>
                <c:pt idx="1">
                  <c:v>1970.1213361818009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144.35</c:v>
                </c:pt>
                <c:pt idx="1">
                  <c:v>98.814099447897632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5880.406779661017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1506</c:v>
                </c:pt>
                <c:pt idx="1">
                  <c:v>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3335.96</c:v>
                </c:pt>
                <c:pt idx="1">
                  <c:v>8996.064641918143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4841.96</c:v>
                </c:pt>
                <c:pt idx="1">
                  <c:v>10502.064641918143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1799.2129283836287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5507.2281667645739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22.947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20.970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9 %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22946.784028185724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22946.784028185724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22946.784028185724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12512</v>
      </c>
      <c r="E78" s="177">
        <f>LOOKUP('Basis-Annahmen'!E5,'Nachfrage &amp; Erzeugung'!D36:G36,'Nachfrage &amp; Erzeugung'!D38:G38)</f>
        <v>11680.020376712333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8055.15</v>
      </c>
      <c r="E79" s="177">
        <f>LOOKUP('Basis-Annahmen'!E5,'Nachfrage &amp; Erzeugung'!D36:G36,'Nachfrage &amp; Erzeugung'!D39:G39)</f>
        <v>10795.800038459915</v>
      </c>
      <c r="F79" s="175"/>
      <c r="G79" s="176" t="s">
        <v>55</v>
      </c>
      <c r="H79" s="177">
        <f>'Nachfrage &amp; Erzeugung'!C46</f>
        <v>5586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402.97</v>
      </c>
      <c r="E80" s="177">
        <f>LOOKUP('Basis-Annahmen'!E5,'Nachfrage &amp; Erzeugung'!D36:G36,'Nachfrage &amp; Erzeugung'!D40:G40)</f>
        <v>470.96361301347946</v>
      </c>
      <c r="F80" s="175"/>
      <c r="G80" s="176" t="str">
        <f>'Nachfrage &amp; Erzeugung'!B47</f>
        <v>Nicht erneuerbare Wärmeerzeugung</v>
      </c>
      <c r="H80" s="177">
        <f>MAX(0,H82-H79)</f>
        <v>15384</v>
      </c>
      <c r="I80" s="177">
        <f>MAX(0,I82-I79)</f>
        <v>22946.784028185724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20970</v>
      </c>
      <c r="E82" s="177">
        <f>LOOKUP('Basis-Annahmen'!E5,'Nachfrage &amp; Erzeugung'!D36:G36,'Nachfrage &amp; Erzeugung'!D37:G37)</f>
        <v>22946.784028185724</v>
      </c>
      <c r="F82" s="175"/>
      <c r="G82" s="176" t="s">
        <v>82</v>
      </c>
      <c r="H82" s="177">
        <f>'Nachfrage &amp; Erzeugung'!C37</f>
        <v>20970</v>
      </c>
      <c r="I82" s="177">
        <f>LOOKUP('Basis-Annahmen'!E5,'Nachfrage &amp; Erzeugung'!D36:G36,'Nachfrage &amp; Erzeugung'!D37:G37)</f>
        <v>22946.784028185724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9.4267240256829962E-2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10.502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117 %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56 %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180000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10504.5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0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1506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1506</v>
      </c>
      <c r="G32" s="256"/>
      <c r="H32" s="248">
        <f>SUM(H27:H31)</f>
        <v>190504.5</v>
      </c>
      <c r="I32" s="248"/>
      <c r="J32" s="245">
        <f>IF(H32&gt;0,F32/H32,0)</f>
        <v>7.9053250710613143E-3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2931.88</v>
      </c>
      <c r="E76" s="186">
        <f>LOOKUP('Basis-Annahmen'!E5,'Nachfrage &amp; Erzeugung'!D9:G9,'Nachfrage &amp; Erzeugung'!D11:G11)</f>
        <v>2552.7224266274275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1756.36</v>
      </c>
      <c r="E77" s="186">
        <f>LOOKUP('Basis-Annahmen'!E5,'Nachfrage &amp; Erzeugung'!D9:G9,'Nachfrage &amp; Erzeugung'!D12:G12)</f>
        <v>1970.1213361818009</v>
      </c>
      <c r="F77" s="175"/>
      <c r="G77" s="176" t="s">
        <v>103</v>
      </c>
      <c r="H77" s="186">
        <f>'Nachfrage &amp; Erzeugung'!C21</f>
        <v>1506</v>
      </c>
      <c r="I77" s="186">
        <f>F31</f>
        <v>1506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144.35</v>
      </c>
      <c r="E78" s="186">
        <f>LOOKUP('Basis-Annahmen'!E5,'Nachfrage &amp; Erzeugung'!D9:G9,'Nachfrage &amp; Erzeugung'!D13:G13)</f>
        <v>98.814099447897632</v>
      </c>
      <c r="F78" s="175"/>
      <c r="G78" s="176" t="str">
        <f>'Nachfrage &amp; Erzeugung'!B29</f>
        <v>Nicht aus lokalen EE gedeckter Strombedarf</v>
      </c>
      <c r="H78" s="186">
        <f>'Nachfrage &amp; Erzeugung'!C29</f>
        <v>3335.96</v>
      </c>
      <c r="I78" s="186">
        <f>MAX(0,E82-SUM(I79:I82)-I77)</f>
        <v>8996.064641918143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5880.406779661017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4841.96</v>
      </c>
      <c r="E82" s="186">
        <f>LOOKUP('Basis-Annahmen'!E5,'Nachfrage &amp; Erzeugung'!D9:G9,'Nachfrage &amp; Erzeugung'!D10:G10)</f>
        <v>10502.064641918143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1.1689697234008838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0.55992864071602155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2780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8996.064641918143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1799.2129283836287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0.64719889510202466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22946.784028185724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5507.2281667645739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1.9810173261743071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0.84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7306.4410951482023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2.6282162212763316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1799.2129283836287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5507.2281667645739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1.3221153846153846E-2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2.0432692307692308E-2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2360</v>
      </c>
      <c r="F34" s="69">
        <v>2480</v>
      </c>
      <c r="G34" s="69">
        <v>2580</v>
      </c>
      <c r="H34" s="69">
        <v>2680</v>
      </c>
      <c r="I34" s="70">
        <v>2780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5.0847457627118647E-2</v>
      </c>
      <c r="G36" s="67">
        <f>(G34-F34)/F34</f>
        <v>4.0322580645161289E-2</v>
      </c>
      <c r="H36" s="67">
        <f>(H34-G34)/G34</f>
        <v>3.875968992248062E-2</v>
      </c>
      <c r="I36" s="68">
        <f>(I34-H34)/H34</f>
        <v>3.7313432835820892E-2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49.404965753424655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0.70508474576271185</v>
      </c>
      <c r="F44" s="73">
        <f>E44*(1+(F13*(F43-E43)))</f>
        <v>0.70508474576271185</v>
      </c>
      <c r="G44" s="73">
        <f t="shared" ref="G44:I44" si="0">F44*(1+(G13*(G43-F43)))</f>
        <v>0.70508474576271185</v>
      </c>
      <c r="H44" s="73">
        <f t="shared" si="0"/>
        <v>0.70508474576271185</v>
      </c>
      <c r="I44" s="190">
        <f t="shared" si="0"/>
        <v>0.70508474576271185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1664</v>
      </c>
      <c r="F45" s="36">
        <f>F44*F34</f>
        <v>1748.6101694915253</v>
      </c>
      <c r="G45" s="36">
        <f t="shared" ref="G45:I45" si="1">G44*G34</f>
        <v>1819.1186440677966</v>
      </c>
      <c r="H45" s="36">
        <f t="shared" si="1"/>
        <v>1889.6271186440677</v>
      </c>
      <c r="I45" s="74">
        <f t="shared" si="1"/>
        <v>1960.1355932203389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22</v>
      </c>
      <c r="F46" s="36">
        <f>F$45*F$14</f>
        <v>87.430508474576271</v>
      </c>
      <c r="G46" s="36">
        <f>G$45*G$14</f>
        <v>545.73559322033896</v>
      </c>
      <c r="H46" s="36">
        <f>H$45*H$14</f>
        <v>1133.7762711864405</v>
      </c>
      <c r="I46" s="74">
        <f>I$45*I$14</f>
        <v>1960.1355932203389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34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4841.96</v>
      </c>
      <c r="D10" s="94">
        <f>D11+D12+D13+D14+D15</f>
        <v>4949.4074970277852</v>
      </c>
      <c r="E10" s="94">
        <f>E11+E12+E13+E14+D15</f>
        <v>6297.9037524660016</v>
      </c>
      <c r="F10" s="94">
        <f>F11+F12+F13+F14+D15</f>
        <v>8039.9565315485233</v>
      </c>
      <c r="G10" s="95">
        <f>G11+G12+G13+G14+D15</f>
        <v>10502.064641918143</v>
      </c>
      <c r="H10" s="14"/>
    </row>
    <row r="11" spans="1:8" ht="19.5" customHeight="1" x14ac:dyDescent="0.2">
      <c r="B11" s="88" t="s">
        <v>6</v>
      </c>
      <c r="C11" s="96">
        <v>2931.88</v>
      </c>
      <c r="D11" s="97">
        <f>C11/'Basis-Annahmen'!E34*((1-'Basis-Annahmen'!F19)^(D9-C9))*'Basis-Annahmen'!F34</f>
        <v>2856.715697885681</v>
      </c>
      <c r="E11" s="97">
        <f>D11/'Basis-Annahmen'!F34*((1-'Basis-Annahmen'!G19)^5)*'Basis-Annahmen'!G34</f>
        <v>2755.6001448097036</v>
      </c>
      <c r="F11" s="97">
        <f>E11/'Basis-Annahmen'!G34*((1-'Basis-Annahmen'!H19)^5)*'Basis-Annahmen'!H34</f>
        <v>2654.0704060254329</v>
      </c>
      <c r="G11" s="98">
        <f>F11/'Basis-Annahmen'!H34*((1-'Basis-Annahmen'!I19)^5)*'Basis-Annahmen'!I34</f>
        <v>2552.7224266274275</v>
      </c>
      <c r="H11" s="14"/>
    </row>
    <row r="12" spans="1:8" ht="19.5" customHeight="1" x14ac:dyDescent="0.2">
      <c r="B12" s="88" t="s">
        <v>104</v>
      </c>
      <c r="C12" s="96">
        <v>1756.36</v>
      </c>
      <c r="D12" s="97">
        <f>((1-'Basis-Annahmen'!F20)^(D9-C9))*((1+'Basis-Annahmen'!F9)^(D9-C9))*C12</f>
        <v>1706.4420171085803</v>
      </c>
      <c r="E12" s="97">
        <f>((1-'Basis-Annahmen'!G20)^5)*((1+'Basis-Annahmen'!G9)^5)*D12</f>
        <v>1790.1606868622071</v>
      </c>
      <c r="F12" s="97">
        <f>((1-'Basis-Annahmen'!H20)^5)*((1+'Basis-Annahmen'!H9)^5)*E12</f>
        <v>1877.9866251869585</v>
      </c>
      <c r="G12" s="98">
        <f>((1-'Basis-Annahmen'!I20)^5)*((1+'Basis-Annahmen'!I9)^5)*F12</f>
        <v>1970.1213361818009</v>
      </c>
      <c r="H12" s="14"/>
    </row>
    <row r="13" spans="1:8" ht="19.5" customHeight="1" x14ac:dyDescent="0.2">
      <c r="B13" s="88" t="s">
        <v>7</v>
      </c>
      <c r="C13" s="96">
        <v>144.35</v>
      </c>
      <c r="D13" s="97">
        <f>C13*((1-'Basis-Annahmen'!F20)^(D9-C9))</f>
        <v>123.95825660979499</v>
      </c>
      <c r="E13" s="97">
        <f>D13*((1-'Basis-Annahmen'!G20)^5)</f>
        <v>114.93614113307473</v>
      </c>
      <c r="F13" s="97">
        <f>E13*((1-'Basis-Annahmen'!H20)^5)</f>
        <v>106.5706867768114</v>
      </c>
      <c r="G13" s="98">
        <f>F13*((1-'Basis-Annahmen'!I20)^5)</f>
        <v>98.814099447897632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262.29152542372879</v>
      </c>
      <c r="E14" s="97">
        <f>'Basis-Annahmen'!G46*'Basis-Annahmen'!G51+'Basis-Annahmen'!G47*'Basis-Annahmen'!G52</f>
        <v>1637.2067796610168</v>
      </c>
      <c r="F14" s="97">
        <f>'Basis-Annahmen'!H46*'Basis-Annahmen'!H51+'Basis-Annahmen'!H47*'Basis-Annahmen'!H52</f>
        <v>3401.3288135593211</v>
      </c>
      <c r="G14" s="98">
        <f>'Basis-Annahmen'!I46*'Basis-Annahmen'!I51+'Basis-Annahmen'!I47*'Basis-Annahmen'!I52</f>
        <v>5880.406779661017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2.2190909678680776E-2</v>
      </c>
      <c r="E16" s="101">
        <f>(E10-$C$10)/$C$10</f>
        <v>0.30069305662706869</v>
      </c>
      <c r="F16" s="101">
        <f t="shared" ref="F16" si="0">(F10-$C$10)/$C$10</f>
        <v>0.66047561969709023</v>
      </c>
      <c r="G16" s="102">
        <f>(G10-$C$10)/$C$10</f>
        <v>1.1689697234008838</v>
      </c>
      <c r="H16" s="14"/>
    </row>
    <row r="17" spans="1:10" ht="19.5" customHeight="1" x14ac:dyDescent="0.2">
      <c r="B17" s="89" t="s">
        <v>97</v>
      </c>
      <c r="C17" s="107"/>
      <c r="D17" s="104">
        <f>D14/D10</f>
        <v>5.2994530270793004E-2</v>
      </c>
      <c r="E17" s="104">
        <f>E14/E10</f>
        <v>0.2599605906997155</v>
      </c>
      <c r="F17" s="104">
        <f>F14/F10</f>
        <v>0.42305313470447503</v>
      </c>
      <c r="G17" s="105">
        <f>G14/G10</f>
        <v>0.55992864071602155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1506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1506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0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3335.96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20970</v>
      </c>
      <c r="D37" s="94">
        <f>SUM(D38:D40)</f>
        <v>21549.089226195621</v>
      </c>
      <c r="E37" s="94">
        <f>SUM(E38:E40)</f>
        <v>22013.151501814507</v>
      </c>
      <c r="F37" s="94">
        <f t="shared" ref="F37:G37" si="1">SUM(F38:F40)</f>
        <v>22453.080786443035</v>
      </c>
      <c r="G37" s="95">
        <f t="shared" si="1"/>
        <v>22946.784028185724</v>
      </c>
      <c r="H37" s="14"/>
    </row>
    <row r="38" spans="1:8" ht="19.5" customHeight="1" x14ac:dyDescent="0.2">
      <c r="A38" s="14"/>
      <c r="B38" s="113" t="s">
        <v>6</v>
      </c>
      <c r="C38" s="96">
        <v>12512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12459.630736301371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12249.165582191783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11964.592979452058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11680.020376712333</v>
      </c>
      <c r="H38" s="14"/>
    </row>
    <row r="39" spans="1:8" ht="19.5" customHeight="1" x14ac:dyDescent="0.2">
      <c r="A39" s="14"/>
      <c r="B39" s="113" t="s">
        <v>104</v>
      </c>
      <c r="C39" s="96">
        <v>8055.15</v>
      </c>
      <c r="D39" s="97">
        <f>C39*((1-'Basis-Annahmen'!F$24)^(D36-C36))*((1+'Basis-Annahmen'!F$9)^(D36-C36))</f>
        <v>8667.002703771801</v>
      </c>
      <c r="E39" s="97">
        <f>((1-'Basis-Annahmen'!G$24)^5)*((1+'Basis-Annahmen'!G$9)^5)*'Nachfrage &amp; Erzeugung'!D39</f>
        <v>9325.3304863581307</v>
      </c>
      <c r="F39" s="97">
        <f>((1-'Basis-Annahmen'!H$24)^5)*((1+'Basis-Annahmen'!H$9)^5)*'Nachfrage &amp; Erzeugung'!E39</f>
        <v>10033.663499603548</v>
      </c>
      <c r="G39" s="98">
        <f>((1-'Basis-Annahmen'!I$24)^5)*((1+'Basis-Annahmen'!I$9)^5)*'Nachfrage &amp; Erzeugung'!F39</f>
        <v>10795.800038459915</v>
      </c>
      <c r="H39" s="14"/>
    </row>
    <row r="40" spans="1:8" ht="19.5" customHeight="1" x14ac:dyDescent="0.2">
      <c r="A40" s="14"/>
      <c r="B40" s="113" t="s">
        <v>7</v>
      </c>
      <c r="C40" s="96">
        <v>402.97</v>
      </c>
      <c r="D40" s="97">
        <f>C40+(C40*'Basis-Annahmen'!F36)*((1-'Basis-Annahmen'!F24)^(D36-C36))</f>
        <v>422.455786122451</v>
      </c>
      <c r="E40" s="97">
        <f>D40+(D40*'Basis-Annahmen'!G36)*((1-'Basis-Annahmen'!G24)^5)</f>
        <v>438.65543326459346</v>
      </c>
      <c r="F40" s="97">
        <f>E40+(E40*'Basis-Annahmen'!H36)*((1-'Basis-Annahmen'!H24)^5)</f>
        <v>454.82430738743074</v>
      </c>
      <c r="G40" s="98">
        <f>F40+(F40*'Basis-Annahmen'!I36)*((1-'Basis-Annahmen'!I24)^5)</f>
        <v>470.96361301347946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2.761512762020131E-2</v>
      </c>
      <c r="E42" s="104">
        <f>(E37-$C$37)/$C$37</f>
        <v>4.9744945246280751E-2</v>
      </c>
      <c r="F42" s="104">
        <f>(F37-$C$37)/$C$37</f>
        <v>7.0723928776491904E-2</v>
      </c>
      <c r="G42" s="105">
        <f>(G37-$C$37)/$C$37</f>
        <v>9.4267240256829962E-2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5586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15384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0.84870232956982594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0.11470053606290692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3.6597134367267109E-2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/>
      <c r="C55" s="167">
        <v>0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/>
      <c r="C56" s="167">
        <v>0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180000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20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10504.5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70030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0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0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